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emes\Desktop\"/>
    </mc:Choice>
  </mc:AlternateContent>
  <xr:revisionPtr revIDLastSave="0" documentId="8_{93D3B756-4610-4FB9-9EDF-CFC3D706D1C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álculo de IRRF" sheetId="1" state="hidden" r:id="rId1"/>
    <sheet name="Beneficios - Contribuições" sheetId="2" r:id="rId2"/>
  </sheets>
  <definedNames>
    <definedName name="_xlnm.Print_Area" localSheetId="1">'Beneficios - Contribuições'!$A$1:$D$12</definedName>
    <definedName name="_xlnm.Print_Area" localSheetId="0">'Cálculo de IRRF'!$A$1:$F$41</definedName>
  </definedNames>
  <calcPr calcId="191029"/>
</workbook>
</file>

<file path=xl/calcChain.xml><?xml version="1.0" encoding="utf-8"?>
<calcChain xmlns="http://schemas.openxmlformats.org/spreadsheetml/2006/main">
  <c r="H33" i="1" l="1"/>
  <c r="D19" i="1"/>
  <c r="H32" i="1" l="1"/>
  <c r="F15" i="1" l="1"/>
  <c r="F14" i="1"/>
  <c r="C15" i="1"/>
  <c r="N4" i="1"/>
  <c r="O4" i="1" s="1"/>
  <c r="Q21" i="1"/>
  <c r="Q5" i="1"/>
  <c r="P5" i="1"/>
  <c r="O5" i="1"/>
  <c r="I35" i="1"/>
  <c r="I34" i="1"/>
  <c r="I33" i="1"/>
  <c r="I32" i="1"/>
  <c r="J32" i="1" s="1"/>
  <c r="H35" i="1"/>
  <c r="H34" i="1"/>
  <c r="B4" i="1"/>
  <c r="C4" i="1" s="1"/>
  <c r="C5" i="1"/>
  <c r="D5" i="1"/>
  <c r="E5" i="1"/>
  <c r="J35" i="1" l="1"/>
  <c r="K36" i="1"/>
  <c r="K35" i="1"/>
  <c r="J34" i="1"/>
  <c r="K34" i="1" s="1"/>
  <c r="J33" i="1"/>
  <c r="C17" i="1"/>
  <c r="R15" i="1"/>
  <c r="O17" i="1" s="1"/>
  <c r="K32" i="1"/>
  <c r="K33" i="1"/>
  <c r="R14" i="1"/>
  <c r="P16" i="1" s="1"/>
  <c r="Q4" i="1"/>
  <c r="Q6" i="1" s="1"/>
  <c r="R7" i="1"/>
  <c r="S7" i="1" s="1"/>
  <c r="P4" i="1"/>
  <c r="O6" i="1" s="1"/>
  <c r="D4" i="1"/>
  <c r="C6" i="1" s="1"/>
  <c r="F7" i="1"/>
  <c r="E4" i="1"/>
  <c r="K37" i="1" l="1"/>
  <c r="D16" i="1" s="1"/>
  <c r="C8" i="2" s="1"/>
  <c r="O16" i="1"/>
  <c r="P17" i="1" s="1"/>
  <c r="R8" i="1"/>
  <c r="R9" i="1" s="1"/>
  <c r="S9" i="1" s="1"/>
  <c r="P6" i="1"/>
  <c r="O8" i="1" s="1"/>
  <c r="E6" i="1"/>
  <c r="D6" i="1"/>
  <c r="G7" i="1"/>
  <c r="F8" i="1"/>
  <c r="O15" i="1"/>
  <c r="C16" i="1" l="1"/>
  <c r="D17" i="1" s="1"/>
  <c r="M41" i="1"/>
  <c r="S8" i="1"/>
  <c r="M40" i="1"/>
  <c r="P8" i="1"/>
  <c r="O10" i="1"/>
  <c r="O11" i="1" s="1"/>
  <c r="P11" i="1" s="1"/>
  <c r="C8" i="1"/>
  <c r="C10" i="1" s="1"/>
  <c r="C11" i="1" s="1"/>
  <c r="D11" i="1" s="1"/>
  <c r="F9" i="1"/>
  <c r="G9" i="1" s="1"/>
  <c r="G8" i="1"/>
  <c r="O27" i="1" l="1"/>
  <c r="A40" i="1"/>
  <c r="A41" i="1"/>
  <c r="D8" i="1"/>
  <c r="O28" i="1" l="1"/>
  <c r="R18" i="1"/>
  <c r="C27" i="1"/>
  <c r="C9" i="2" l="1"/>
  <c r="F18" i="1"/>
  <c r="F19" i="1" s="1"/>
  <c r="R19" i="1"/>
  <c r="C28" i="1"/>
  <c r="C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204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204:</t>
        </r>
        <r>
          <rPr>
            <sz val="8"/>
            <color indexed="81"/>
            <rFont val="Tahoma"/>
            <family val="2"/>
          </rPr>
          <t xml:space="preserve">
IDADE EM ANOS
</t>
        </r>
      </text>
    </comment>
    <comment ref="P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204:</t>
        </r>
        <r>
          <rPr>
            <sz val="8"/>
            <color indexed="81"/>
            <rFont val="Tahoma"/>
            <family val="2"/>
          </rPr>
          <t xml:space="preserve">
IDADE EM ANOS
</t>
        </r>
      </text>
    </comment>
  </commentList>
</comments>
</file>

<file path=xl/sharedStrings.xml><?xml version="1.0" encoding="utf-8"?>
<sst xmlns="http://schemas.openxmlformats.org/spreadsheetml/2006/main" count="128" uniqueCount="77">
  <si>
    <t>ano</t>
  </si>
  <si>
    <t>mês</t>
  </si>
  <si>
    <t>dia</t>
  </si>
  <si>
    <t>DATA</t>
  </si>
  <si>
    <t>DATA DE NASCIMENTO</t>
  </si>
  <si>
    <t>IDADE EM MESES</t>
  </si>
  <si>
    <t>IRRF</t>
  </si>
  <si>
    <t>IDADE</t>
  </si>
  <si>
    <t>-</t>
  </si>
  <si>
    <t>BENF</t>
  </si>
  <si>
    <t>DEDUÇÃO</t>
  </si>
  <si>
    <t>BASE1</t>
  </si>
  <si>
    <t>BASE2</t>
  </si>
  <si>
    <t>BASE3</t>
  </si>
  <si>
    <t>BASE4</t>
  </si>
  <si>
    <t>DEDUÇÃO1</t>
  </si>
  <si>
    <t>DEDUÇÃO2</t>
  </si>
  <si>
    <t>DEDUÇÃO3</t>
  </si>
  <si>
    <t>DEDUÇÃO4</t>
  </si>
  <si>
    <t>E(C15&gt;=65;C16-C17-C18&gt;=C22)</t>
  </si>
  <si>
    <t>(C16-C17-C18)*27,5%-C26</t>
  </si>
  <si>
    <t>E(C15&gt;=65;C16-C17-C18&lt;C22)</t>
  </si>
  <si>
    <t>E(C15&gt;=65;C16-C17-C18&gt;C21)</t>
  </si>
  <si>
    <t>(C16-C17-C18)*22,5%-C25</t>
  </si>
  <si>
    <t>E(C15&gt;=65;C16-C17-C18&lt;C21)</t>
  </si>
  <si>
    <t>E(C15&gt;=65;C16-C17-C18&gt;C20)</t>
  </si>
  <si>
    <t>(C16-C17-C18)*15%-C24</t>
  </si>
  <si>
    <t>E(C15&gt;=65;C16-C17-C18&lt;C20)</t>
  </si>
  <si>
    <t>E(C15&gt;=65;C16-C17-C18&gt;C19)</t>
  </si>
  <si>
    <t>(C16-C17-C18)*7,5%-C23</t>
  </si>
  <si>
    <t>E(c15&lt;65;C16-c17&gt;=C22)</t>
  </si>
  <si>
    <t>(C16-C17)*27,5%-C26</t>
  </si>
  <si>
    <t>E(c15&lt;65;C16-C17&lt;C22)</t>
  </si>
  <si>
    <t>E(C15&lt;65;C16-C17&gt;C21)</t>
  </si>
  <si>
    <t>(C16-C17)*22,5%-C25</t>
  </si>
  <si>
    <t>E(c15&lt;65;C16-C17&lt;C21)</t>
  </si>
  <si>
    <t>E(C15&lt;65;C16-C17&gt;C20)</t>
  </si>
  <si>
    <t>(C16-C17)*15%-C24</t>
  </si>
  <si>
    <t>E(c15&lt;65;C16-C17&lt;C20)</t>
  </si>
  <si>
    <t>E(C15&lt;65;C16-C17&gt;C19)</t>
  </si>
  <si>
    <t>(C16-C17)*7,5%-C23</t>
  </si>
  <si>
    <t>Liquido + Alim</t>
  </si>
  <si>
    <t>Plano de Saude</t>
  </si>
  <si>
    <t>Vale Alimentação</t>
  </si>
  <si>
    <t>Salário Bruto</t>
  </si>
  <si>
    <t>Salário Liquido</t>
  </si>
  <si>
    <t>Salário</t>
  </si>
  <si>
    <t>Nº Dependente</t>
  </si>
  <si>
    <t>1ª faixa salarial</t>
  </si>
  <si>
    <t>R$ 1.100,00 x 7,5% = R$ 82,50</t>
  </si>
  <si>
    <t>2ª faixa salarial</t>
  </si>
  <si>
    <t>(R$ 2.203,48 – R$ 1.100,01) x 9% = R$ 99,31</t>
  </si>
  <si>
    <t>3ª faixa salarial</t>
  </si>
  <si>
    <t>(R$ 3.305,22 – R$ 2.203,49) x 12% = R$ 132,20</t>
  </si>
  <si>
    <t>4ª faixa salarial</t>
  </si>
  <si>
    <t>(R$ 6.433,57 – R$ 3.305,23) x 14% = R$ 437,96</t>
  </si>
  <si>
    <t>Total a recolher</t>
  </si>
  <si>
    <t>R$ 82,50 + R$ 99,31 + R$ 132,20 + R$ 437,96 = R$ 751,97</t>
  </si>
  <si>
    <t xml:space="preserve">Contribuição </t>
  </si>
  <si>
    <t>Nova Base de Cálculo</t>
  </si>
  <si>
    <t>Desconto do RPPS</t>
  </si>
  <si>
    <t>APOSENTADO</t>
  </si>
  <si>
    <t>Contri. acima do teto</t>
  </si>
  <si>
    <t>IPMC</t>
  </si>
  <si>
    <t>IR</t>
  </si>
  <si>
    <t>INSS</t>
  </si>
  <si>
    <t>Valor Bruto do Provento</t>
  </si>
  <si>
    <t>Idade Atual</t>
  </si>
  <si>
    <t>CALCULO DA FOLHA DE PAGAMENTO PÓS REFORMA</t>
  </si>
  <si>
    <t>CALCULO DA FOLHA DE PAGAMENTO ANTES DA REFORMA</t>
  </si>
  <si>
    <t>Benefício Líquido</t>
  </si>
  <si>
    <t>Resultados</t>
  </si>
  <si>
    <t>Cálculo da contribuição Previdenciária e do Imposto de Renda a partir de abril de 2022.</t>
  </si>
  <si>
    <r>
      <t>Nº Dependentes no</t>
    </r>
    <r>
      <rPr>
        <b/>
        <sz val="12"/>
        <color rgb="FF002060"/>
        <rFont val="Calibri Light"/>
        <family val="2"/>
      </rPr>
      <t xml:space="preserve"> IRPF</t>
    </r>
  </si>
  <si>
    <r>
      <t xml:space="preserve">Imposto de Renda Retido na Fonte - </t>
    </r>
    <r>
      <rPr>
        <b/>
        <sz val="12"/>
        <color rgb="FF002060"/>
        <rFont val="Calibri Light"/>
        <family val="2"/>
      </rPr>
      <t>IRRF</t>
    </r>
  </si>
  <si>
    <r>
      <t xml:space="preserve">Contribuição Previdenciária ao </t>
    </r>
    <r>
      <rPr>
        <b/>
        <sz val="12"/>
        <color rgb="FF002060"/>
        <rFont val="Calibri Light"/>
        <family val="2"/>
      </rPr>
      <t>IPMC</t>
    </r>
  </si>
  <si>
    <r>
      <t xml:space="preserve">Aplicação da </t>
    </r>
    <r>
      <rPr>
        <b/>
        <sz val="12"/>
        <color rgb="FF002060"/>
        <rFont val="Calibri Light"/>
        <family val="2"/>
      </rPr>
      <t>LC 133/2021</t>
    </r>
    <r>
      <rPr>
        <sz val="12"/>
        <color rgb="FF002060"/>
        <rFont val="Calibri Light"/>
        <family val="2"/>
      </rPr>
      <t xml:space="preserve"> a partir de abril de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</si>
</sst>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rgb="FF002060"/>
      <name val="Arial"/>
      <family val="2"/>
    </font>
    <font>
      <sz val="10"/>
      <color rgb="FF3E4C59"/>
      <name val="Arial"/>
      <family val="2"/>
    </font>
    <font>
      <sz val="10"/>
      <color rgb="FF333333"/>
      <name val="Arial"/>
      <family val="2"/>
    </font>
    <font>
      <sz val="12"/>
      <color rgb="FF202124"/>
      <name val="Arial"/>
      <family val="2"/>
    </font>
    <font>
      <b/>
      <sz val="10"/>
      <color rgb="FF0070C0"/>
      <name val="Arial"/>
      <family val="2"/>
    </font>
    <font>
      <b/>
      <sz val="10"/>
      <color rgb="FF002060"/>
      <name val="Arial"/>
      <family val="2"/>
    </font>
    <font>
      <b/>
      <sz val="10"/>
      <color indexed="9"/>
      <name val="Arial"/>
      <family val="2"/>
    </font>
    <font>
      <b/>
      <i/>
      <sz val="10"/>
      <color rgb="FF0070C0"/>
      <name val="Arial"/>
      <family val="2"/>
    </font>
    <font>
      <sz val="10"/>
      <color indexed="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 Light"/>
      <family val="2"/>
    </font>
    <font>
      <b/>
      <sz val="12"/>
      <name val="Calibri Light"/>
      <family val="2"/>
    </font>
    <font>
      <b/>
      <sz val="12"/>
      <color rgb="FF002060"/>
      <name val="Calibri Light"/>
      <family val="2"/>
    </font>
    <font>
      <sz val="12"/>
      <color rgb="FF00206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9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0" fillId="0" borderId="1" xfId="0" applyBorder="1"/>
    <xf numFmtId="0" fontId="0" fillId="2" borderId="0" xfId="0" applyFill="1"/>
    <xf numFmtId="2" fontId="0" fillId="2" borderId="0" xfId="0" applyNumberFormat="1" applyFill="1"/>
    <xf numFmtId="14" fontId="0" fillId="2" borderId="0" xfId="0" applyNumberFormat="1" applyFill="1"/>
    <xf numFmtId="1" fontId="0" fillId="2" borderId="0" xfId="0" applyNumberFormat="1" applyFill="1"/>
    <xf numFmtId="0" fontId="7" fillId="2" borderId="0" xfId="0" applyFont="1" applyFill="1"/>
    <xf numFmtId="9" fontId="8" fillId="2" borderId="0" xfId="2" applyFont="1" applyFill="1"/>
    <xf numFmtId="165" fontId="12" fillId="0" borderId="1" xfId="3" applyFont="1" applyFill="1" applyBorder="1"/>
    <xf numFmtId="0" fontId="5" fillId="2" borderId="0" xfId="0" applyFont="1" applyFill="1"/>
    <xf numFmtId="0" fontId="13" fillId="2" borderId="0" xfId="0" applyFont="1" applyFill="1" applyAlignment="1">
      <alignment horizontal="center" vertical="top" wrapText="1"/>
    </xf>
    <xf numFmtId="165" fontId="5" fillId="2" borderId="0" xfId="3" applyFont="1" applyFill="1" applyBorder="1"/>
    <xf numFmtId="10" fontId="5" fillId="2" borderId="0" xfId="0" applyNumberFormat="1" applyFont="1" applyFill="1"/>
    <xf numFmtId="43" fontId="5" fillId="2" borderId="0" xfId="0" applyNumberFormat="1" applyFont="1" applyFill="1"/>
    <xf numFmtId="165" fontId="11" fillId="2" borderId="0" xfId="3" applyFont="1" applyFill="1"/>
    <xf numFmtId="165" fontId="12" fillId="2" borderId="1" xfId="3" applyFont="1" applyFill="1" applyBorder="1" applyAlignment="1">
      <alignment horizontal="center"/>
    </xf>
    <xf numFmtId="10" fontId="12" fillId="2" borderId="1" xfId="0" applyNumberFormat="1" applyFont="1" applyFill="1" applyBorder="1" applyAlignment="1">
      <alignment horizontal="center"/>
    </xf>
    <xf numFmtId="165" fontId="0" fillId="2" borderId="0" xfId="0" applyNumberFormat="1" applyFill="1"/>
    <xf numFmtId="43" fontId="0" fillId="2" borderId="0" xfId="0" applyNumberFormat="1" applyFill="1"/>
    <xf numFmtId="0" fontId="5" fillId="2" borderId="0" xfId="0" applyFont="1" applyFill="1" applyAlignment="1">
      <alignment horizontal="right"/>
    </xf>
    <xf numFmtId="165" fontId="14" fillId="2" borderId="0" xfId="3" applyFont="1" applyFill="1" applyBorder="1" applyAlignment="1">
      <alignment horizontal="right"/>
    </xf>
    <xf numFmtId="0" fontId="5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right" wrapText="1"/>
    </xf>
    <xf numFmtId="43" fontId="6" fillId="2" borderId="0" xfId="0" applyNumberFormat="1" applyFont="1" applyFill="1" applyAlignment="1">
      <alignment horizontal="right" wrapText="1"/>
    </xf>
    <xf numFmtId="4" fontId="15" fillId="0" borderId="0" xfId="0" applyNumberFormat="1" applyFont="1"/>
    <xf numFmtId="0" fontId="6" fillId="2" borderId="0" xfId="0" applyFont="1" applyFill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12" fillId="2" borderId="1" xfId="3" applyFont="1" applyFill="1" applyBorder="1"/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5" fontId="2" fillId="3" borderId="1" xfId="3" applyFont="1" applyFill="1" applyBorder="1"/>
    <xf numFmtId="0" fontId="5" fillId="3" borderId="1" xfId="0" applyFont="1" applyFill="1" applyBorder="1"/>
    <xf numFmtId="165" fontId="5" fillId="3" borderId="1" xfId="3" applyFont="1" applyFill="1" applyBorder="1"/>
    <xf numFmtId="0" fontId="9" fillId="3" borderId="1" xfId="0" applyFont="1" applyFill="1" applyBorder="1" applyAlignment="1">
      <alignment horizontal="center"/>
    </xf>
    <xf numFmtId="164" fontId="2" fillId="3" borderId="1" xfId="1" applyFont="1" applyFill="1" applyBorder="1"/>
    <xf numFmtId="0" fontId="10" fillId="3" borderId="1" xfId="0" applyFont="1" applyFill="1" applyBorder="1" applyAlignment="1">
      <alignment horizontal="center"/>
    </xf>
    <xf numFmtId="164" fontId="5" fillId="3" borderId="1" xfId="1" applyFont="1" applyFill="1" applyBorder="1"/>
    <xf numFmtId="0" fontId="16" fillId="3" borderId="1" xfId="0" applyFont="1" applyFill="1" applyBorder="1"/>
    <xf numFmtId="164" fontId="16" fillId="3" borderId="1" xfId="1" applyFont="1" applyFill="1" applyBorder="1"/>
    <xf numFmtId="0" fontId="12" fillId="2" borderId="1" xfId="0" applyFont="1" applyFill="1" applyBorder="1"/>
    <xf numFmtId="0" fontId="2" fillId="0" borderId="1" xfId="0" applyFon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14" fontId="17" fillId="3" borderId="1" xfId="0" applyNumberFormat="1" applyFont="1" applyFill="1" applyBorder="1"/>
    <xf numFmtId="165" fontId="11" fillId="2" borderId="0" xfId="3" applyFont="1" applyFill="1" applyBorder="1"/>
    <xf numFmtId="165" fontId="8" fillId="2" borderId="0" xfId="3" applyFont="1" applyFill="1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4" fontId="0" fillId="4" borderId="7" xfId="0" applyNumberForma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8" fillId="5" borderId="1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164" fontId="2" fillId="6" borderId="7" xfId="1" applyFont="1" applyFill="1" applyBorder="1"/>
    <xf numFmtId="0" fontId="20" fillId="5" borderId="12" xfId="0" applyFont="1" applyFill="1" applyBorder="1"/>
    <xf numFmtId="0" fontId="2" fillId="7" borderId="13" xfId="0" applyFont="1" applyFill="1" applyBorder="1" applyAlignment="1">
      <alignment horizontal="center"/>
    </xf>
    <xf numFmtId="165" fontId="0" fillId="0" borderId="1" xfId="3" applyFont="1" applyBorder="1"/>
    <xf numFmtId="165" fontId="0" fillId="0" borderId="12" xfId="3" applyFont="1" applyFill="1" applyBorder="1"/>
    <xf numFmtId="165" fontId="0" fillId="0" borderId="1" xfId="3" applyFont="1" applyFill="1" applyBorder="1"/>
    <xf numFmtId="165" fontId="5" fillId="2" borderId="12" xfId="3" applyFont="1" applyFill="1" applyBorder="1"/>
    <xf numFmtId="0" fontId="21" fillId="5" borderId="14" xfId="0" applyFont="1" applyFill="1" applyBorder="1"/>
    <xf numFmtId="164" fontId="2" fillId="8" borderId="13" xfId="1" applyFont="1" applyFill="1" applyBorder="1"/>
    <xf numFmtId="165" fontId="5" fillId="2" borderId="1" xfId="3" applyFont="1" applyFill="1" applyBorder="1"/>
    <xf numFmtId="0" fontId="21" fillId="5" borderId="15" xfId="0" applyFont="1" applyFill="1" applyBorder="1"/>
    <xf numFmtId="164" fontId="2" fillId="8" borderId="16" xfId="1" applyFont="1" applyFill="1" applyBorder="1"/>
    <xf numFmtId="9" fontId="0" fillId="2" borderId="1" xfId="0" applyNumberFormat="1" applyFill="1" applyBorder="1"/>
    <xf numFmtId="165" fontId="14" fillId="2" borderId="0" xfId="3" applyFont="1" applyFill="1" applyAlignment="1">
      <alignment horizontal="right"/>
    </xf>
    <xf numFmtId="9" fontId="5" fillId="2" borderId="0" xfId="2" applyFont="1" applyFill="1"/>
    <xf numFmtId="0" fontId="17" fillId="5" borderId="1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165" fontId="18" fillId="5" borderId="1" xfId="3" applyFont="1" applyFill="1" applyBorder="1"/>
    <xf numFmtId="43" fontId="5" fillId="2" borderId="0" xfId="0" applyNumberFormat="1" applyFont="1" applyFill="1" applyAlignment="1">
      <alignment horizontal="right" wrapText="1"/>
    </xf>
    <xf numFmtId="0" fontId="22" fillId="5" borderId="1" xfId="0" applyFont="1" applyFill="1" applyBorder="1"/>
    <xf numFmtId="0" fontId="22" fillId="5" borderId="1" xfId="0" applyFont="1" applyFill="1" applyBorder="1" applyAlignment="1">
      <alignment horizontal="center"/>
    </xf>
    <xf numFmtId="165" fontId="22" fillId="5" borderId="1" xfId="3" applyFont="1" applyFill="1" applyBorder="1"/>
    <xf numFmtId="0" fontId="5" fillId="2" borderId="0" xfId="0" applyFont="1" applyFill="1" applyAlignment="1">
      <alignment wrapText="1"/>
    </xf>
    <xf numFmtId="0" fontId="23" fillId="2" borderId="0" xfId="0" applyFont="1" applyFill="1"/>
    <xf numFmtId="0" fontId="24" fillId="3" borderId="1" xfId="0" applyFont="1" applyFill="1" applyBorder="1" applyAlignment="1" applyProtection="1">
      <alignment horizontal="center"/>
      <protection locked="0"/>
    </xf>
    <xf numFmtId="165" fontId="24" fillId="3" borderId="1" xfId="3" applyFont="1" applyFill="1" applyBorder="1" applyProtection="1">
      <protection locked="0"/>
    </xf>
    <xf numFmtId="3" fontId="24" fillId="3" borderId="1" xfId="0" applyNumberFormat="1" applyFont="1" applyFill="1" applyBorder="1" applyAlignment="1" applyProtection="1">
      <alignment horizontal="center"/>
      <protection locked="0"/>
    </xf>
    <xf numFmtId="165" fontId="0" fillId="2" borderId="0" xfId="3" applyFont="1" applyFill="1" applyBorder="1"/>
    <xf numFmtId="165" fontId="12" fillId="4" borderId="1" xfId="3" applyFont="1" applyFill="1" applyBorder="1" applyAlignment="1">
      <alignment horizontal="center"/>
    </xf>
    <xf numFmtId="165" fontId="25" fillId="2" borderId="1" xfId="3" applyFont="1" applyFill="1" applyBorder="1"/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165" fontId="2" fillId="2" borderId="0" xfId="3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" xfId="0" applyFont="1" applyFill="1" applyBorder="1"/>
    <xf numFmtId="0" fontId="25" fillId="2" borderId="0" xfId="0" applyFont="1" applyFill="1" applyAlignment="1">
      <alignment horizont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85723</xdr:colOff>
      <xdr:row>0</xdr:row>
      <xdr:rowOff>47624</xdr:rowOff>
    </xdr:from>
    <xdr:to>
      <xdr:col>3</xdr:col>
      <xdr:colOff>790574</xdr:colOff>
      <xdr:row>3</xdr:row>
      <xdr:rowOff>114299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A600C4D-2334-4F6C-9156-21F190673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898" y="47624"/>
          <a:ext cx="7048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zoomScaleNormal="100" workbookViewId="0">
      <selection activeCell="G16" sqref="G16"/>
    </sheetView>
  </sheetViews>
  <sheetFormatPr defaultRowHeight="12.75" x14ac:dyDescent="0.2"/>
  <cols>
    <col min="1" max="1" width="35.85546875" style="5" customWidth="1"/>
    <col min="2" max="2" width="27.85546875" style="5" bestFit="1" customWidth="1"/>
    <col min="3" max="3" width="12.28515625" style="5" bestFit="1" customWidth="1"/>
    <col min="4" max="4" width="23.42578125" style="5" bestFit="1" customWidth="1"/>
    <col min="5" max="5" width="19" style="5" customWidth="1"/>
    <col min="6" max="6" width="18.5703125" style="5" customWidth="1"/>
    <col min="7" max="7" width="56" style="5" customWidth="1"/>
    <col min="8" max="11" width="9.140625" style="5" customWidth="1"/>
    <col min="12" max="12" width="9.140625" style="5"/>
    <col min="13" max="13" width="29" style="5" bestFit="1" customWidth="1"/>
    <col min="14" max="14" width="27.85546875" style="5" bestFit="1" customWidth="1"/>
    <col min="15" max="15" width="12.28515625" style="5" bestFit="1" customWidth="1"/>
    <col min="16" max="16" width="23.7109375" style="5" bestFit="1" customWidth="1"/>
    <col min="17" max="17" width="19" style="5" customWidth="1"/>
    <col min="18" max="18" width="18.5703125" style="5" customWidth="1"/>
    <col min="19" max="19" width="56" style="5" customWidth="1"/>
    <col min="20" max="16384" width="9.140625" style="5"/>
  </cols>
  <sheetData>
    <row r="1" spans="1:19" x14ac:dyDescent="0.2">
      <c r="B1" s="9" t="s">
        <v>68</v>
      </c>
      <c r="N1" s="9" t="s">
        <v>69</v>
      </c>
    </row>
    <row r="3" spans="1:19" hidden="1" x14ac:dyDescent="0.2">
      <c r="A3" s="4"/>
      <c r="B3" s="4"/>
      <c r="C3" s="44" t="s">
        <v>0</v>
      </c>
      <c r="D3" s="44" t="s">
        <v>1</v>
      </c>
      <c r="E3" s="44" t="s">
        <v>2</v>
      </c>
      <c r="M3" s="50"/>
      <c r="N3" s="51"/>
      <c r="O3" s="52" t="s">
        <v>0</v>
      </c>
      <c r="P3" s="53" t="s">
        <v>1</v>
      </c>
      <c r="Q3" s="54" t="s">
        <v>2</v>
      </c>
    </row>
    <row r="4" spans="1:19" ht="13.5" hidden="1" thickBot="1" x14ac:dyDescent="0.25">
      <c r="A4" s="4" t="s">
        <v>3</v>
      </c>
      <c r="B4" s="45">
        <f ca="1">TODAY()</f>
        <v>44946</v>
      </c>
      <c r="C4" s="46">
        <f ca="1">YEAR(B4)</f>
        <v>2023</v>
      </c>
      <c r="D4" s="46">
        <f ca="1">MONTH(B4)</f>
        <v>1</v>
      </c>
      <c r="E4" s="46">
        <f ca="1">DAY(B4)</f>
        <v>20</v>
      </c>
      <c r="F4" s="7"/>
      <c r="M4" s="55" t="s">
        <v>3</v>
      </c>
      <c r="N4" s="1">
        <f ca="1">TODAY()</f>
        <v>44946</v>
      </c>
      <c r="O4" s="56">
        <f ca="1">YEAR(N4)</f>
        <v>2023</v>
      </c>
      <c r="P4" s="57">
        <f ca="1">MONTH(N4)</f>
        <v>1</v>
      </c>
      <c r="Q4" s="58">
        <f ca="1">DAY(N4)</f>
        <v>20</v>
      </c>
      <c r="R4" s="7"/>
    </row>
    <row r="5" spans="1:19" ht="13.5" hidden="1" thickBot="1" x14ac:dyDescent="0.25">
      <c r="A5" s="4" t="s">
        <v>4</v>
      </c>
      <c r="B5" s="47">
        <v>16883</v>
      </c>
      <c r="C5" s="46">
        <f>YEAR(B5)</f>
        <v>1946</v>
      </c>
      <c r="D5" s="46">
        <f>MONTH(B5)</f>
        <v>3</v>
      </c>
      <c r="E5" s="46">
        <f>DAY(B5)</f>
        <v>22</v>
      </c>
      <c r="F5" s="7"/>
      <c r="M5" s="55" t="s">
        <v>4</v>
      </c>
      <c r="N5" s="59">
        <v>28020</v>
      </c>
      <c r="O5" s="60">
        <f>YEAR(N5)</f>
        <v>1976</v>
      </c>
      <c r="P5" s="61">
        <f>MONTH(N5)</f>
        <v>9</v>
      </c>
      <c r="Q5" s="62">
        <f>DAY(N5)</f>
        <v>17</v>
      </c>
      <c r="R5" s="7"/>
    </row>
    <row r="6" spans="1:19" hidden="1" x14ac:dyDescent="0.2">
      <c r="A6"/>
      <c r="B6" s="1"/>
      <c r="C6" s="2">
        <f ca="1">IF(D4=D5,IF(E4&lt;E5,C4-1-C5,C4-C5),IF(D4&lt;D5,C4-1-C5,C4-C5))</f>
        <v>76</v>
      </c>
      <c r="D6" s="2">
        <f ca="1">IF(IF(E4&lt;E5,D4-1,D4)&lt;D5,12+IF(E4&lt;E5,D4-1,D4)-D5,IF(E4&lt;E5,D4-1,D4)-D5)</f>
        <v>9</v>
      </c>
      <c r="E6" s="2">
        <f ca="1">IF(E4&lt;E5,30+E4-E5,E4-E5)</f>
        <v>28</v>
      </c>
      <c r="F6" s="7"/>
      <c r="M6" s="55"/>
      <c r="N6" s="1"/>
      <c r="O6" s="2">
        <f ca="1">IF(P4=P5,IF(Q4&lt;Q5,O4-1-O5,O4-O5),IF(P4&lt;P5,O4-1-O5,O4-O5))</f>
        <v>46</v>
      </c>
      <c r="P6" s="2">
        <f ca="1">IF(IF(Q4&lt;Q5,P4-1,P4)&lt;P5,12+IF(Q4&lt;Q5,P4-1,P4)-P5,IF(Q4&lt;Q5,P4-1,P4)-P5)</f>
        <v>4</v>
      </c>
      <c r="Q6" s="63">
        <f ca="1">IF(Q4&lt;Q5,30+Q4-Q5,Q4-Q5)</f>
        <v>3</v>
      </c>
      <c r="R6" s="7"/>
    </row>
    <row r="7" spans="1:19" ht="13.5" hidden="1" thickBot="1" x14ac:dyDescent="0.25">
      <c r="A7"/>
      <c r="B7"/>
      <c r="C7"/>
      <c r="D7"/>
      <c r="E7"/>
      <c r="F7" s="6">
        <f ca="1">(B4-B5)/365.25</f>
        <v>76.832306639288163</v>
      </c>
      <c r="G7" s="8">
        <f ca="1">INT(F7)</f>
        <v>76</v>
      </c>
      <c r="M7" s="64"/>
      <c r="N7" s="65"/>
      <c r="O7" s="65"/>
      <c r="P7" s="65"/>
      <c r="Q7" s="66"/>
      <c r="R7" s="6">
        <f ca="1">(N4-N5)/365.25</f>
        <v>46.340862422997944</v>
      </c>
      <c r="S7" s="8">
        <f ca="1">INT(R7)</f>
        <v>46</v>
      </c>
    </row>
    <row r="8" spans="1:19" hidden="1" x14ac:dyDescent="0.2">
      <c r="A8" t="s">
        <v>5</v>
      </c>
      <c r="B8"/>
      <c r="C8">
        <f ca="1">C6*12+D6+IF(E6&gt;=15,1,0)</f>
        <v>922</v>
      </c>
      <c r="D8">
        <f ca="1">C8/12</f>
        <v>76.833333333333329</v>
      </c>
      <c r="E8"/>
      <c r="F8" s="6">
        <f ca="1">(F7-INT(F7))*12</f>
        <v>9.9876796714579541</v>
      </c>
      <c r="G8" s="8">
        <f ca="1">INT(F8)</f>
        <v>9</v>
      </c>
      <c r="M8" t="s">
        <v>5</v>
      </c>
      <c r="N8"/>
      <c r="O8">
        <f ca="1">O6*12+P6+IF(Q6&gt;=15,1,0)</f>
        <v>556</v>
      </c>
      <c r="P8">
        <f ca="1">O8/12</f>
        <v>46.333333333333336</v>
      </c>
      <c r="Q8"/>
      <c r="R8" s="6">
        <f ca="1">(R7-INT(R7))*12</f>
        <v>4.0903490759753254</v>
      </c>
      <c r="S8" s="8">
        <f ca="1">INT(R8)</f>
        <v>4</v>
      </c>
    </row>
    <row r="9" spans="1:19" hidden="1" x14ac:dyDescent="0.2">
      <c r="A9"/>
      <c r="B9"/>
      <c r="C9"/>
      <c r="D9"/>
      <c r="E9"/>
      <c r="F9" s="6">
        <f ca="1">INT((F8-INT(F8))*30)</f>
        <v>29</v>
      </c>
      <c r="G9" s="8">
        <f ca="1">INT(F9)</f>
        <v>29</v>
      </c>
      <c r="M9"/>
      <c r="N9"/>
      <c r="O9"/>
      <c r="P9"/>
      <c r="Q9"/>
      <c r="R9" s="6">
        <f ca="1">INT((R8-INT(R8))*30)</f>
        <v>2</v>
      </c>
      <c r="S9" s="8">
        <f ca="1">INT(R9)</f>
        <v>2</v>
      </c>
    </row>
    <row r="10" spans="1:19" hidden="1" x14ac:dyDescent="0.2">
      <c r="A10"/>
      <c r="B10"/>
      <c r="C10">
        <f ca="1">720-C8</f>
        <v>-202</v>
      </c>
      <c r="D10"/>
      <c r="E10"/>
      <c r="F10" s="7"/>
      <c r="M10"/>
      <c r="N10"/>
      <c r="O10">
        <f ca="1">720-O8</f>
        <v>164</v>
      </c>
      <c r="P10"/>
      <c r="Q10"/>
      <c r="R10" s="7"/>
    </row>
    <row r="11" spans="1:19" hidden="1" x14ac:dyDescent="0.2">
      <c r="A11"/>
      <c r="B11"/>
      <c r="C11">
        <f ca="1">IF(C10&lt;0,0,MIN(4/1200*C10,0.2))</f>
        <v>0</v>
      </c>
      <c r="D11" s="3">
        <f ca="1">C11</f>
        <v>0</v>
      </c>
      <c r="E11"/>
      <c r="F11" s="7"/>
      <c r="M11"/>
      <c r="N11"/>
      <c r="O11">
        <f ca="1">IF(O10&lt;0,0,MIN(4/1200*O10,0.2))</f>
        <v>0.2</v>
      </c>
      <c r="P11" s="3">
        <f ca="1">O11</f>
        <v>0.2</v>
      </c>
      <c r="Q11"/>
      <c r="R11" s="7"/>
    </row>
    <row r="12" spans="1:19" x14ac:dyDescent="0.2">
      <c r="D12" s="5">
        <v>1302</v>
      </c>
    </row>
    <row r="13" spans="1:19" ht="13.5" thickBot="1" x14ac:dyDescent="0.25"/>
    <row r="14" spans="1:19" ht="13.5" thickBot="1" x14ac:dyDescent="0.25">
      <c r="A14" s="101" t="s">
        <v>6</v>
      </c>
      <c r="B14" s="101"/>
      <c r="C14" s="101"/>
      <c r="D14" s="32" t="s">
        <v>61</v>
      </c>
      <c r="E14" s="37" t="s">
        <v>44</v>
      </c>
      <c r="F14" s="38">
        <f>'Beneficios - Contribuições'!B4</f>
        <v>0</v>
      </c>
      <c r="M14" s="103" t="s">
        <v>6</v>
      </c>
      <c r="N14" s="104"/>
      <c r="O14" s="104"/>
      <c r="P14" s="67" t="s">
        <v>63</v>
      </c>
      <c r="Q14" s="68" t="s">
        <v>44</v>
      </c>
      <c r="R14" s="69">
        <f>F14</f>
        <v>0</v>
      </c>
    </row>
    <row r="15" spans="1:19" ht="13.5" thickBot="1" x14ac:dyDescent="0.25">
      <c r="A15" s="29" t="s">
        <v>7</v>
      </c>
      <c r="B15" s="30"/>
      <c r="C15" s="43">
        <f>'Beneficios - Contribuições'!B3</f>
        <v>0</v>
      </c>
      <c r="D15" s="32" t="s">
        <v>58</v>
      </c>
      <c r="E15" s="39" t="s">
        <v>47</v>
      </c>
      <c r="F15" s="33">
        <f>'Beneficios - Contribuições'!B5</f>
        <v>0</v>
      </c>
      <c r="M15" s="4" t="s">
        <v>7</v>
      </c>
      <c r="N15" s="46"/>
      <c r="O15" s="4">
        <f>C15</f>
        <v>0</v>
      </c>
      <c r="P15" s="70"/>
      <c r="Q15" s="68" t="s">
        <v>47</v>
      </c>
      <c r="R15" s="71">
        <f>F15</f>
        <v>0</v>
      </c>
    </row>
    <row r="16" spans="1:19" ht="13.5" thickBot="1" x14ac:dyDescent="0.25">
      <c r="A16" s="29" t="s">
        <v>9</v>
      </c>
      <c r="B16" s="30"/>
      <c r="C16" s="31">
        <f>F14-D16</f>
        <v>0</v>
      </c>
      <c r="D16" s="11">
        <f>IF(F14&lt;D19,0,K37)</f>
        <v>0</v>
      </c>
      <c r="E16" s="39" t="s">
        <v>43</v>
      </c>
      <c r="F16" s="40"/>
      <c r="M16" s="4" t="s">
        <v>9</v>
      </c>
      <c r="N16" s="46"/>
      <c r="O16" s="72">
        <f>R14-P16</f>
        <v>0</v>
      </c>
      <c r="P16" s="73">
        <f>IF(R14&gt;=P19,(R14-P19)*P20,0)</f>
        <v>0</v>
      </c>
      <c r="Q16" s="68" t="s">
        <v>43</v>
      </c>
      <c r="R16" s="69"/>
    </row>
    <row r="17" spans="1:22" ht="13.5" thickBot="1" x14ac:dyDescent="0.25">
      <c r="A17" s="29"/>
      <c r="B17" s="29"/>
      <c r="C17" s="31">
        <f>F15*189.59</f>
        <v>0</v>
      </c>
      <c r="D17" s="31">
        <f>C16-D16</f>
        <v>0</v>
      </c>
      <c r="E17" s="39" t="s">
        <v>42</v>
      </c>
      <c r="F17" s="40"/>
      <c r="O17" s="74">
        <f>R15*189.59</f>
        <v>0</v>
      </c>
      <c r="P17" s="75">
        <f>O16-P16</f>
        <v>0</v>
      </c>
      <c r="Q17" s="68" t="s">
        <v>42</v>
      </c>
      <c r="R17" s="69"/>
    </row>
    <row r="18" spans="1:22" x14ac:dyDescent="0.2">
      <c r="A18" s="29" t="s">
        <v>10</v>
      </c>
      <c r="B18" s="30"/>
      <c r="C18" s="31">
        <v>1903.98</v>
      </c>
      <c r="D18" s="32" t="s">
        <v>59</v>
      </c>
      <c r="E18" s="41" t="s">
        <v>45</v>
      </c>
      <c r="F18" s="42">
        <f>C16-C27-F17</f>
        <v>0</v>
      </c>
      <c r="M18" s="4" t="s">
        <v>10</v>
      </c>
      <c r="N18" s="46"/>
      <c r="O18" s="11">
        <v>1903.98</v>
      </c>
      <c r="P18" s="67" t="s">
        <v>63</v>
      </c>
      <c r="Q18" s="76" t="s">
        <v>45</v>
      </c>
      <c r="R18" s="77">
        <f>O16-O27-R17</f>
        <v>0</v>
      </c>
    </row>
    <row r="19" spans="1:22" ht="13.5" thickBot="1" x14ac:dyDescent="0.25">
      <c r="A19" s="29" t="s">
        <v>11</v>
      </c>
      <c r="B19" s="30"/>
      <c r="C19" s="31">
        <v>1903.99</v>
      </c>
      <c r="D19" s="97">
        <f>D12*2</f>
        <v>2604</v>
      </c>
      <c r="E19" s="41" t="s">
        <v>41</v>
      </c>
      <c r="F19" s="42">
        <f>F18+F16</f>
        <v>0</v>
      </c>
      <c r="M19" s="4" t="s">
        <v>11</v>
      </c>
      <c r="N19" s="46"/>
      <c r="O19" s="11">
        <v>1903.99</v>
      </c>
      <c r="P19" s="78">
        <v>7507.49</v>
      </c>
      <c r="Q19" s="79" t="s">
        <v>41</v>
      </c>
      <c r="R19" s="80">
        <f>R18+R16</f>
        <v>0</v>
      </c>
    </row>
    <row r="20" spans="1:22" x14ac:dyDescent="0.2">
      <c r="A20" s="29" t="s">
        <v>12</v>
      </c>
      <c r="B20" s="30"/>
      <c r="C20" s="31">
        <v>2826.65</v>
      </c>
      <c r="D20" s="19">
        <v>0.14000000000000001</v>
      </c>
      <c r="F20" s="20"/>
      <c r="M20" s="4" t="s">
        <v>12</v>
      </c>
      <c r="N20" s="46"/>
      <c r="O20" s="11">
        <v>2826.65</v>
      </c>
      <c r="P20" s="81">
        <v>0.14000000000000001</v>
      </c>
      <c r="R20" s="20"/>
    </row>
    <row r="21" spans="1:22" x14ac:dyDescent="0.2">
      <c r="A21" s="29" t="s">
        <v>13</v>
      </c>
      <c r="B21" s="30"/>
      <c r="C21" s="31">
        <v>3751.05</v>
      </c>
      <c r="D21" s="97">
        <v>3906</v>
      </c>
      <c r="E21" s="21"/>
      <c r="M21" s="4" t="s">
        <v>13</v>
      </c>
      <c r="N21" s="46"/>
      <c r="O21" s="11">
        <v>3751.05</v>
      </c>
      <c r="P21" s="78"/>
      <c r="Q21" s="21">
        <f>(P19-P19*0.22)*P20</f>
        <v>819.8179080000001</v>
      </c>
    </row>
    <row r="22" spans="1:22" x14ac:dyDescent="0.2">
      <c r="A22" s="29" t="s">
        <v>14</v>
      </c>
      <c r="B22" s="30"/>
      <c r="C22" s="31">
        <v>4664.68</v>
      </c>
      <c r="D22" s="19">
        <v>0.14000000000000001</v>
      </c>
      <c r="E22" s="21"/>
      <c r="M22" s="4" t="s">
        <v>14</v>
      </c>
      <c r="N22" s="46"/>
      <c r="O22" s="11">
        <v>4664.68</v>
      </c>
      <c r="P22" s="81"/>
      <c r="Q22" s="21"/>
    </row>
    <row r="23" spans="1:22" x14ac:dyDescent="0.2">
      <c r="A23" s="29" t="s">
        <v>15</v>
      </c>
      <c r="B23" s="30"/>
      <c r="C23" s="31">
        <v>142.80000000000001</v>
      </c>
      <c r="D23" s="97">
        <v>5208</v>
      </c>
      <c r="M23" s="4" t="s">
        <v>15</v>
      </c>
      <c r="N23" s="46"/>
      <c r="O23" s="11">
        <v>142.80000000000001</v>
      </c>
      <c r="P23" s="78"/>
    </row>
    <row r="24" spans="1:22" x14ac:dyDescent="0.2">
      <c r="A24" s="29" t="s">
        <v>16</v>
      </c>
      <c r="B24" s="30"/>
      <c r="C24" s="31">
        <v>354.8</v>
      </c>
      <c r="D24" s="19">
        <v>0.14000000000000001</v>
      </c>
      <c r="M24" s="4" t="s">
        <v>16</v>
      </c>
      <c r="N24" s="46"/>
      <c r="O24" s="11">
        <v>354.8</v>
      </c>
      <c r="P24" s="81"/>
    </row>
    <row r="25" spans="1:22" x14ac:dyDescent="0.2">
      <c r="A25" s="29" t="s">
        <v>17</v>
      </c>
      <c r="B25" s="30"/>
      <c r="C25" s="31">
        <v>636.13</v>
      </c>
      <c r="D25" s="97">
        <v>7507.49</v>
      </c>
      <c r="E25" s="22"/>
      <c r="F25" s="23"/>
      <c r="M25" s="4" t="s">
        <v>17</v>
      </c>
      <c r="N25" s="46"/>
      <c r="O25" s="11">
        <v>636.13</v>
      </c>
      <c r="Q25" s="22" t="s">
        <v>64</v>
      </c>
      <c r="R25" s="82">
        <v>5474.41</v>
      </c>
      <c r="S25" s="83"/>
    </row>
    <row r="26" spans="1:22" x14ac:dyDescent="0.2">
      <c r="A26" s="29" t="s">
        <v>18</v>
      </c>
      <c r="B26" s="30"/>
      <c r="C26" s="31">
        <v>869.36</v>
      </c>
      <c r="D26" s="19">
        <v>0.14000000000000001</v>
      </c>
      <c r="E26" s="24"/>
      <c r="F26" s="23"/>
      <c r="M26" s="4" t="s">
        <v>18</v>
      </c>
      <c r="N26" s="46"/>
      <c r="O26" s="11">
        <v>869.36</v>
      </c>
      <c r="Q26" s="24" t="s">
        <v>65</v>
      </c>
      <c r="R26" s="82">
        <v>1934.77</v>
      </c>
      <c r="S26" s="83"/>
    </row>
    <row r="27" spans="1:22" x14ac:dyDescent="0.2">
      <c r="A27" s="32" t="s">
        <v>6</v>
      </c>
      <c r="B27" s="33" t="s">
        <v>8</v>
      </c>
      <c r="C27" s="34">
        <f>ROUND(IF(AND(A40,A41)&lt;=0,0,IF(C15&gt;=65,A40,A41)),2)</f>
        <v>0</v>
      </c>
      <c r="D27" s="18"/>
      <c r="E27" s="25"/>
      <c r="F27" s="26"/>
      <c r="G27" s="10"/>
      <c r="M27" s="84" t="s">
        <v>6</v>
      </c>
      <c r="N27" s="85" t="s">
        <v>8</v>
      </c>
      <c r="O27" s="86">
        <f>ROUND(IF(AND(M40,M41)&lt;=0,0,IF(O15&gt;=65,M40,M41)),2)</f>
        <v>0</v>
      </c>
      <c r="Q27" s="24"/>
      <c r="R27" s="87"/>
      <c r="S27" s="83"/>
    </row>
    <row r="28" spans="1:22" ht="15" x14ac:dyDescent="0.2">
      <c r="A28" s="35" t="s">
        <v>46</v>
      </c>
      <c r="B28" s="33"/>
      <c r="C28" s="36">
        <f>C16-C27</f>
        <v>0</v>
      </c>
      <c r="D28" s="19"/>
      <c r="E28" s="27"/>
      <c r="F28" s="28"/>
      <c r="M28" s="88" t="s">
        <v>46</v>
      </c>
      <c r="N28" s="89"/>
      <c r="O28" s="90">
        <f>O16-O27</f>
        <v>0</v>
      </c>
      <c r="Q28" s="27"/>
      <c r="R28" s="91"/>
    </row>
    <row r="31" spans="1:22" s="12" customFormat="1" ht="12.75" customHeight="1" x14ac:dyDescent="0.2">
      <c r="A31" s="12" t="s">
        <v>19</v>
      </c>
      <c r="D31" s="12" t="s">
        <v>20</v>
      </c>
      <c r="F31" s="12" t="s">
        <v>60</v>
      </c>
      <c r="M31" s="12" t="s">
        <v>19</v>
      </c>
      <c r="P31" s="12" t="s">
        <v>20</v>
      </c>
    </row>
    <row r="32" spans="1:22" s="12" customFormat="1" x14ac:dyDescent="0.2">
      <c r="A32" s="12" t="s">
        <v>21</v>
      </c>
      <c r="B32" s="12" t="s">
        <v>22</v>
      </c>
      <c r="D32" s="12" t="s">
        <v>23</v>
      </c>
      <c r="F32" s="13" t="s">
        <v>48</v>
      </c>
      <c r="G32" s="13" t="s">
        <v>49</v>
      </c>
      <c r="H32" s="14">
        <f>D19</f>
        <v>2604</v>
      </c>
      <c r="I32" s="15">
        <f>D20</f>
        <v>0.14000000000000001</v>
      </c>
      <c r="J32" s="16">
        <f>H32*I32</f>
        <v>364.56000000000006</v>
      </c>
      <c r="K32" s="48">
        <f>IF(F14&lt;H32,F14*I32,J32)</f>
        <v>0</v>
      </c>
      <c r="M32" s="12" t="s">
        <v>21</v>
      </c>
      <c r="N32" s="12" t="s">
        <v>22</v>
      </c>
      <c r="P32" s="12" t="s">
        <v>23</v>
      </c>
      <c r="R32" s="13"/>
      <c r="S32" s="13"/>
      <c r="T32" s="14"/>
      <c r="U32" s="15"/>
      <c r="V32" s="16"/>
    </row>
    <row r="33" spans="1:22" s="12" customFormat="1" x14ac:dyDescent="0.2">
      <c r="A33" s="12" t="s">
        <v>24</v>
      </c>
      <c r="B33" s="12" t="s">
        <v>25</v>
      </c>
      <c r="D33" s="12" t="s">
        <v>26</v>
      </c>
      <c r="F33" s="13" t="s">
        <v>50</v>
      </c>
      <c r="G33" s="13" t="s">
        <v>51</v>
      </c>
      <c r="H33" s="14">
        <f>D21</f>
        <v>3906</v>
      </c>
      <c r="I33" s="15">
        <f>D22</f>
        <v>0.14000000000000001</v>
      </c>
      <c r="J33" s="16">
        <f>(H33-(H32+0.01))*I33</f>
        <v>182.27859999999998</v>
      </c>
      <c r="K33" s="48" t="str">
        <f>IF(IF(F14&lt;H33,((F14-(H32+0.01))*I33),J33)&lt;0,"",IF(F14&lt;H33,((F14-(H32+0.01))*I33),J33))</f>
        <v/>
      </c>
      <c r="M33" s="12" t="s">
        <v>24</v>
      </c>
      <c r="N33" s="12" t="s">
        <v>25</v>
      </c>
      <c r="P33" s="12" t="s">
        <v>26</v>
      </c>
      <c r="R33" s="13"/>
      <c r="S33" s="13"/>
      <c r="T33" s="14"/>
      <c r="U33" s="15"/>
      <c r="V33" s="16"/>
    </row>
    <row r="34" spans="1:22" s="12" customFormat="1" x14ac:dyDescent="0.2">
      <c r="A34" s="12" t="s">
        <v>27</v>
      </c>
      <c r="B34" s="12" t="s">
        <v>28</v>
      </c>
      <c r="D34" s="12" t="s">
        <v>29</v>
      </c>
      <c r="F34" s="13" t="s">
        <v>52</v>
      </c>
      <c r="G34" s="13" t="s">
        <v>53</v>
      </c>
      <c r="H34" s="14">
        <f>D23</f>
        <v>5208</v>
      </c>
      <c r="I34" s="15">
        <f>D24</f>
        <v>0.14000000000000001</v>
      </c>
      <c r="J34" s="16">
        <f>(H34-(H33+0.01))*I34</f>
        <v>182.27859999999998</v>
      </c>
      <c r="K34" s="49" t="str">
        <f>IF(IF(F14&lt;H34,((F14-(H33+0.01))*I34),J34)&lt;0,"",IF(F14&lt;H34,((F14-(H33+0.01))*I34),J34))</f>
        <v/>
      </c>
      <c r="M34" s="12" t="s">
        <v>27</v>
      </c>
      <c r="N34" s="12" t="s">
        <v>28</v>
      </c>
      <c r="P34" s="12" t="s">
        <v>29</v>
      </c>
      <c r="R34" s="13"/>
      <c r="S34" s="13"/>
      <c r="T34" s="14"/>
      <c r="U34" s="15"/>
      <c r="V34" s="16"/>
    </row>
    <row r="35" spans="1:22" s="12" customFormat="1" x14ac:dyDescent="0.2">
      <c r="A35" s="12" t="s">
        <v>30</v>
      </c>
      <c r="D35" s="12" t="s">
        <v>31</v>
      </c>
      <c r="F35" s="13" t="s">
        <v>54</v>
      </c>
      <c r="G35" s="13" t="s">
        <v>55</v>
      </c>
      <c r="H35" s="14">
        <f>D25</f>
        <v>7507.49</v>
      </c>
      <c r="I35" s="15">
        <f>D26</f>
        <v>0.14000000000000001</v>
      </c>
      <c r="J35" s="16">
        <f>(H35-(H34+0.1))*I35</f>
        <v>321.91459999999995</v>
      </c>
      <c r="K35" s="49" t="str">
        <f>IF(IF(F14&lt;H35,((F14-(H34+0.01))*I35),J35)&lt;0,"",IF(F14&lt;H35,((F14-(H34+0.01))*I35),J35))</f>
        <v/>
      </c>
      <c r="M35" s="12" t="s">
        <v>30</v>
      </c>
      <c r="P35" s="12" t="s">
        <v>31</v>
      </c>
      <c r="R35" s="13"/>
      <c r="S35" s="13"/>
      <c r="T35" s="14"/>
      <c r="U35" s="15"/>
      <c r="V35" s="16"/>
    </row>
    <row r="36" spans="1:22" x14ac:dyDescent="0.2">
      <c r="A36" s="5" t="s">
        <v>32</v>
      </c>
      <c r="B36" s="5" t="s">
        <v>33</v>
      </c>
      <c r="D36" s="5" t="s">
        <v>34</v>
      </c>
      <c r="F36" s="13" t="s">
        <v>56</v>
      </c>
      <c r="G36" s="13" t="s">
        <v>57</v>
      </c>
      <c r="H36" s="102" t="s">
        <v>62</v>
      </c>
      <c r="I36" s="102"/>
      <c r="J36" s="102"/>
      <c r="K36" s="96" t="str">
        <f>IF(F14&gt;H35,((F14-H35)*I35),"")</f>
        <v/>
      </c>
      <c r="M36" s="5" t="s">
        <v>32</v>
      </c>
      <c r="N36" s="5" t="s">
        <v>33</v>
      </c>
      <c r="P36" s="5" t="s">
        <v>34</v>
      </c>
      <c r="R36" s="13"/>
      <c r="S36" s="13"/>
      <c r="T36" s="14"/>
      <c r="U36" s="12"/>
    </row>
    <row r="37" spans="1:22" x14ac:dyDescent="0.2">
      <c r="A37" s="5" t="s">
        <v>35</v>
      </c>
      <c r="B37" s="5" t="s">
        <v>36</v>
      </c>
      <c r="D37" s="5" t="s">
        <v>37</v>
      </c>
      <c r="K37" s="21">
        <f>SUM(K33:K36)</f>
        <v>0</v>
      </c>
      <c r="M37" s="5" t="s">
        <v>35</v>
      </c>
      <c r="N37" s="5" t="s">
        <v>36</v>
      </c>
      <c r="P37" s="5" t="s">
        <v>37</v>
      </c>
    </row>
    <row r="38" spans="1:22" x14ac:dyDescent="0.2">
      <c r="A38" s="5" t="s">
        <v>38</v>
      </c>
      <c r="B38" s="5" t="s">
        <v>39</v>
      </c>
      <c r="D38" s="5" t="s">
        <v>40</v>
      </c>
      <c r="M38" s="5" t="s">
        <v>38</v>
      </c>
      <c r="N38" s="5" t="s">
        <v>39</v>
      </c>
      <c r="P38" s="5" t="s">
        <v>40</v>
      </c>
    </row>
    <row r="40" spans="1:22" x14ac:dyDescent="0.2">
      <c r="A40" s="17">
        <f>IF(AND(C15&gt;=65,C16-C17-C18&gt;=C22),(C16-C17-C18)*27.5%-C26,IF(AND(AND(C15&gt;=65,C16-C17-C18&lt;C22),AND(C15&gt;=65,C16-C17-C18&gt;C21)),(C16-C17-C18)*22.5%-C25,IF(AND(AND(C15&gt;=65,C16-C17-C18&lt;C21),AND(C15&gt;=65,C16-C17-C18&gt;C20)),(C16-C17-C18)*15%-C24,IF(AND(AND(C15&gt;=65,C16-C17-C18&lt;C20),AND(C15&gt;=65,C16-C17-C18&gt;C19)),(C16-C17-C18)*7.5%-C23,0))))</f>
        <v>0</v>
      </c>
      <c r="M40" s="5">
        <f>IF(AND(O15&gt;=65,O16-O17-O18&gt;=O22),(O16-O17-O18)*27.5%-O26,IF(AND(AND(O15&gt;=65,O16-O17-O18&lt;O22),AND(O15&gt;=65,O16-O17-O18&gt;O21)),(O16-O17-O18)*22.5%-O25,IF(AND(AND(O15&gt;=65,O16-O17-O18&lt;O21),AND(O15&gt;=65,O16-O17-O18&gt;O20)),(O16-O17-O18)*15%-O24,IF(AND(AND(O15&gt;=65,O16-O17-O18&lt;O20),AND(O15&gt;=65,O16-O17-O18&gt;O19)),(O16-O17-O18)*7.5%-O23,0))))</f>
        <v>0</v>
      </c>
    </row>
    <row r="41" spans="1:22" x14ac:dyDescent="0.2">
      <c r="A41" s="17">
        <f>IF(AND(C15&lt;65,C16-C17&gt;=C22),(C16-C17)*27.5%-C26,IF(AND(AND(C15&lt;65,C16-C17&lt;C22),AND(C15&lt;65,C16-C17&gt;C21)),(C16-C17)*22.5%-C25,IF(AND(AND(C15&lt;65,C16-C17&lt;C21),AND(C15&lt;65,C16-C17&gt;C20)),(C16-C17)*15%-C24,IF(AND(AND(C15&lt;65,C16-C17&lt;C20),AND(C15&lt;65,C16-C17&gt;C19)),(C16-C17)*7.5%-C23,0))))</f>
        <v>0</v>
      </c>
      <c r="M41" s="5">
        <f>IF(AND(O15&lt;65,O16-O17&gt;=O22),(O16-O17)*27.5%-O26,IF(AND(AND(O15&lt;65,O16-O17&lt;O22),AND(O15&lt;65,O16-O17&gt;O21)),(O16-O17)*22.5%-O25,IF(AND(AND(O15&lt;65,O16-O17&lt;O21),AND(O15&lt;65,O16-O17&gt;O20)),(O16-O17)*15%-O24,IF(AND(AND(O15&lt;65,O16-O17&lt;O20),AND(O15&lt;65,O16-O17&gt;O19)),(O16-O17)*7.5%-O23,0))))</f>
        <v>0</v>
      </c>
      <c r="V41" s="21"/>
    </row>
    <row r="44" spans="1:22" x14ac:dyDescent="0.2">
      <c r="C44" s="6"/>
      <c r="O44" s="6"/>
    </row>
    <row r="45" spans="1:22" x14ac:dyDescent="0.2">
      <c r="C45" s="6"/>
      <c r="O45" s="6"/>
    </row>
    <row r="46" spans="1:22" x14ac:dyDescent="0.2">
      <c r="C46" s="6"/>
      <c r="O46" s="6"/>
    </row>
    <row r="48" spans="1:22" x14ac:dyDescent="0.2">
      <c r="C48" s="6"/>
      <c r="O48" s="6"/>
    </row>
  </sheetData>
  <mergeCells count="3">
    <mergeCell ref="A14:C14"/>
    <mergeCell ref="H36:J36"/>
    <mergeCell ref="M14:O14"/>
  </mergeCells>
  <phoneticPr fontId="0" type="noConversion"/>
  <pageMargins left="0.78740157499999996" right="0.78740157499999996" top="0.984251969" bottom="0.984251969" header="0.49212598499999999" footer="0.49212598499999999"/>
  <pageSetup paperSize="9" scale="66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11"/>
  <sheetViews>
    <sheetView tabSelected="1" zoomScaleNormal="100" workbookViewId="0">
      <selection activeCell="B5" sqref="B5"/>
    </sheetView>
  </sheetViews>
  <sheetFormatPr defaultColWidth="0" defaultRowHeight="12.75" zeroHeight="1" x14ac:dyDescent="0.2"/>
  <cols>
    <col min="1" max="1" width="29.28515625" style="92" customWidth="1"/>
    <col min="2" max="2" width="19.7109375" style="92" customWidth="1"/>
    <col min="3" max="3" width="15.42578125" style="5" customWidth="1"/>
    <col min="4" max="4" width="12.85546875" style="5" customWidth="1"/>
    <col min="5" max="253" width="9.140625" style="5" hidden="1"/>
    <col min="254" max="254" width="0.85546875" style="5" hidden="1"/>
    <col min="255" max="16383" width="9.140625" style="5" hidden="1"/>
    <col min="16384" max="16384" width="19.7109375" style="5" hidden="1"/>
  </cols>
  <sheetData>
    <row r="1" spans="1:3" ht="15" customHeight="1" x14ac:dyDescent="0.2">
      <c r="A1" s="108" t="s">
        <v>72</v>
      </c>
      <c r="B1" s="108"/>
      <c r="C1" s="108"/>
    </row>
    <row r="2" spans="1:3" ht="16.5" customHeight="1" x14ac:dyDescent="0.2">
      <c r="A2" s="108"/>
      <c r="B2" s="108"/>
      <c r="C2" s="108"/>
    </row>
    <row r="3" spans="1:3" ht="15.75" x14ac:dyDescent="0.25">
      <c r="A3" s="99" t="s">
        <v>67</v>
      </c>
      <c r="B3" s="93"/>
    </row>
    <row r="4" spans="1:3" ht="15.75" x14ac:dyDescent="0.25">
      <c r="A4" s="99" t="s">
        <v>66</v>
      </c>
      <c r="B4" s="94"/>
    </row>
    <row r="5" spans="1:3" ht="15.75" x14ac:dyDescent="0.25">
      <c r="A5" s="99" t="s">
        <v>73</v>
      </c>
      <c r="B5" s="95"/>
    </row>
    <row r="6" spans="1:3" x14ac:dyDescent="0.2"/>
    <row r="7" spans="1:3" ht="40.5" customHeight="1" x14ac:dyDescent="0.2">
      <c r="A7" s="100" t="s">
        <v>71</v>
      </c>
      <c r="B7" s="105" t="s">
        <v>76</v>
      </c>
      <c r="C7" s="106"/>
    </row>
    <row r="8" spans="1:3" ht="15.75" x14ac:dyDescent="0.25">
      <c r="A8" s="107" t="s">
        <v>75</v>
      </c>
      <c r="B8" s="107"/>
      <c r="C8" s="98">
        <f>'Cálculo de IRRF'!D16</f>
        <v>0</v>
      </c>
    </row>
    <row r="9" spans="1:3" ht="15.75" x14ac:dyDescent="0.25">
      <c r="A9" s="107" t="s">
        <v>74</v>
      </c>
      <c r="B9" s="107"/>
      <c r="C9" s="98">
        <f>'Cálculo de IRRF'!C27</f>
        <v>0</v>
      </c>
    </row>
    <row r="10" spans="1:3" ht="15.75" x14ac:dyDescent="0.25">
      <c r="A10" s="107" t="s">
        <v>70</v>
      </c>
      <c r="B10" s="107"/>
      <c r="C10" s="98">
        <f>'Cálculo de IRRF'!F18</f>
        <v>0</v>
      </c>
    </row>
    <row r="11" spans="1:3" x14ac:dyDescent="0.2"/>
  </sheetData>
  <sheetProtection algorithmName="SHA-512" hashValue="ql5NDiY7ddBmmfh24LxjXzXUERtfR1VzZ5K58slD7W10sd2bNy+bp7bj2yqvvMi/Jvg0V+wtwEXMs3CuDLxIxw==" saltValue="WLKiLTY6pqRXNs0bcKMUOA==" spinCount="100000" sheet="1" selectLockedCells="1"/>
  <mergeCells count="5">
    <mergeCell ref="B7:C7"/>
    <mergeCell ref="A8:B8"/>
    <mergeCell ref="A9:B9"/>
    <mergeCell ref="A10:B10"/>
    <mergeCell ref="A1:C2"/>
  </mergeCells>
  <pageMargins left="0.511811024" right="0.511811024" top="0.78740157499999996" bottom="0.78740157499999996" header="0.31496062000000002" footer="0.31496062000000002"/>
  <pageSetup paperSize="9" scale="97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Cálculo de IRRF</vt:lpstr>
      <vt:lpstr>Beneficios - Contribuições</vt:lpstr>
      <vt:lpstr>'Beneficios - Contribuições'!Area_de_impressao</vt:lpstr>
      <vt:lpstr>'Cálculo de IRRF'!Area_de_impressao</vt:lpstr>
    </vt:vector>
  </TitlesOfParts>
  <Company>GAMA Consultores Associados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Lemes</dc:creator>
  <cp:lastModifiedBy>Luciano Lemes</cp:lastModifiedBy>
  <cp:lastPrinted>2021-08-18T21:24:26Z</cp:lastPrinted>
  <dcterms:created xsi:type="dcterms:W3CDTF">2009-05-22T14:09:03Z</dcterms:created>
  <dcterms:modified xsi:type="dcterms:W3CDTF">2023-01-20T17:51:06Z</dcterms:modified>
</cp:coreProperties>
</file>